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10" windowHeight="8625" activeTab="0"/>
  </bookViews>
  <sheets>
    <sheet name="MIGAC" sheetId="1" r:id="rId1"/>
  </sheets>
  <externalReferences>
    <externalReference r:id="rId4"/>
    <externalReference r:id="rId5"/>
  </externalReferences>
  <definedNames>
    <definedName name="_xlnm.Print_Titles" localSheetId="0">'MIGAC'!$A:$A</definedName>
    <definedName name="_xlnm.Print_Area" localSheetId="0">'MIGAC'!$A$3:$AE$36</definedName>
  </definedNames>
  <calcPr fullCalcOnLoad="1"/>
</workbook>
</file>

<file path=xl/comments1.xml><?xml version="1.0" encoding="utf-8"?>
<comments xmlns="http://schemas.openxmlformats.org/spreadsheetml/2006/main">
  <authors>
    <author>Marcelle F?ni?s</author>
  </authors>
  <commentList>
    <comment ref="B30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MIG privées</t>
        </r>
      </text>
    </comment>
    <comment ref="S20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dont 350 pour Séquedin </t>
        </r>
      </text>
    </comment>
    <comment ref="S26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dont 90 pour Toulon </t>
        </r>
      </text>
    </comment>
    <comment ref="Z15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+Poissy-St germain+5,33 MAD syndic AP-HP+10 P3 Bichat + 8,63 infirmier cab</t>
        </r>
      </text>
    </comment>
    <comment ref="Z7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20 pour ingénieur Montauban </t>
        </r>
      </text>
    </comment>
    <comment ref="AA26" authorId="0">
      <text>
        <r>
          <rPr>
            <b/>
            <sz val="8"/>
            <rFont val="Tahoma"/>
            <family val="0"/>
          </rPr>
          <t>Marcelle Féniès:</t>
        </r>
        <r>
          <rPr>
            <sz val="8"/>
            <rFont val="Tahoma"/>
            <family val="0"/>
          </rPr>
          <t xml:space="preserve">
poste de PH Avignon </t>
        </r>
      </text>
    </comment>
  </commentList>
</comments>
</file>

<file path=xl/sharedStrings.xml><?xml version="1.0" encoding="utf-8"?>
<sst xmlns="http://schemas.openxmlformats.org/spreadsheetml/2006/main" count="63" uniqueCount="63">
  <si>
    <t>les montants sont en milliers d'euros</t>
  </si>
  <si>
    <t xml:space="preserve"> Régions </t>
  </si>
  <si>
    <t>Dotations MIGAC au 30 juin 05</t>
  </si>
  <si>
    <t>Primes sommet du grade (NR)</t>
  </si>
  <si>
    <t xml:space="preserve">PLAN CANCER </t>
  </si>
  <si>
    <t>Consultanat (NR)</t>
  </si>
  <si>
    <t xml:space="preserve">Dispositif d'annonce </t>
  </si>
  <si>
    <t xml:space="preserve">Aide aux préparations de chimiothérapie </t>
  </si>
  <si>
    <t xml:space="preserve">Oncogénétique </t>
  </si>
  <si>
    <t xml:space="preserve">Tumorothèques </t>
  </si>
  <si>
    <t>Stages de radiophysiens</t>
  </si>
  <si>
    <t xml:space="preserve">mesures diverses </t>
  </si>
  <si>
    <t>PHRC cancer (NR)</t>
  </si>
  <si>
    <t>Programme 2005 de soutien aux techniques innovantes et coûteuses (cancer) (NR)</t>
  </si>
  <si>
    <t>PHRC National et régional (hors cancer) (NR)</t>
  </si>
  <si>
    <t>Programme 2005 de soutien aux techniques innovantes et coûteuses (hors cancer) (NR)</t>
  </si>
  <si>
    <t>Autres innovations et soins coûteux rares (NR)</t>
  </si>
  <si>
    <t>Délélégations interrégionales à la recherche clinique (R)</t>
  </si>
  <si>
    <t>laboratoires de génétique (maladies rares) (R)</t>
  </si>
  <si>
    <t>Centres de référence maladies rares (R)</t>
  </si>
  <si>
    <t xml:space="preserve">UCSA </t>
  </si>
  <si>
    <t xml:space="preserve">plan Urgences </t>
  </si>
  <si>
    <t xml:space="preserve">Informatisation des Urgences </t>
  </si>
  <si>
    <t xml:space="preserve">Mise aux norme aires de pose hélicoptères </t>
  </si>
  <si>
    <t xml:space="preserve">complément Hôpital 2007 </t>
  </si>
  <si>
    <t>SDIS (NR)</t>
  </si>
  <si>
    <t xml:space="preserve">ENC (NR) </t>
  </si>
  <si>
    <t>Mesures ponctuelles (R)</t>
  </si>
  <si>
    <t>Mesures ponctuelles (NR)</t>
  </si>
  <si>
    <t xml:space="preserve">Autres MIGAC </t>
  </si>
  <si>
    <t xml:space="preserve">Total mesures circulaire 3 </t>
  </si>
  <si>
    <t xml:space="preserve">transferts interrégionaux </t>
  </si>
  <si>
    <t>Dotations régionales MIGAC au 30/09/05</t>
  </si>
  <si>
    <t xml:space="preserve"> Alsace </t>
  </si>
  <si>
    <t xml:space="preserve"> Aquitaine </t>
  </si>
  <si>
    <t xml:space="preserve"> Auvergne </t>
  </si>
  <si>
    <t xml:space="preserve"> Bourgogne </t>
  </si>
  <si>
    <t xml:space="preserve"> Bretagne </t>
  </si>
  <si>
    <t xml:space="preserve"> Centre </t>
  </si>
  <si>
    <t xml:space="preserve"> Champagne-Ardenne </t>
  </si>
  <si>
    <t xml:space="preserve"> Corse </t>
  </si>
  <si>
    <t xml:space="preserve"> Franche-Comté </t>
  </si>
  <si>
    <t xml:space="preserve"> Ile-de-France </t>
  </si>
  <si>
    <t xml:space="preserve"> Languedoc-Roussillon </t>
  </si>
  <si>
    <t xml:space="preserve"> Limousin </t>
  </si>
  <si>
    <t xml:space="preserve"> Lorraine </t>
  </si>
  <si>
    <t xml:space="preserve"> Midi-Pyrénées </t>
  </si>
  <si>
    <t xml:space="preserve"> Nord-Pas-de-Calais </t>
  </si>
  <si>
    <t xml:space="preserve"> Basse-Normandie </t>
  </si>
  <si>
    <t xml:space="preserve"> Haute-Normandie </t>
  </si>
  <si>
    <t xml:space="preserve"> Pays-de-la-Loire </t>
  </si>
  <si>
    <t xml:space="preserve"> Picardie </t>
  </si>
  <si>
    <t xml:space="preserve"> Poitou-Charentes </t>
  </si>
  <si>
    <t xml:space="preserve"> Provence-Alpes-Côte d'Azur </t>
  </si>
  <si>
    <t xml:space="preserve"> Rhône-Alpes </t>
  </si>
  <si>
    <t xml:space="preserve"> France métropolitaine </t>
  </si>
  <si>
    <t xml:space="preserve"> Guadeloupe </t>
  </si>
  <si>
    <t xml:space="preserve"> Guyane *</t>
  </si>
  <si>
    <t xml:space="preserve"> Martinique </t>
  </si>
  <si>
    <t xml:space="preserve"> Réunion </t>
  </si>
  <si>
    <t xml:space="preserve"> DOM </t>
  </si>
  <si>
    <t xml:space="preserve"> France entière </t>
  </si>
  <si>
    <t>* les mesures concernant la Guyane sont comptabilisées en mesures ponctuelles DAF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</si>
</sst>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"/>
    <numFmt numFmtId="174" formatCode="#,##0.0000"/>
    <numFmt numFmtId="175" formatCode="0.0"/>
    <numFmt numFmtId="176" formatCode="#,##0.00\ _€"/>
    <numFmt numFmtId="177" formatCode="0.0000"/>
    <numFmt numFmtId="178" formatCode="0.000"/>
  </numFmts>
  <fonts count="8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1" fillId="0" borderId="0" xfId="19" applyNumberFormat="1" applyFont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enies\Local%20Settings\Temporary%20Internet%20Files\OLK5\INCA%20mes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enies\Local%20Settings\Temporary%20Internet%20Files\OLK5\H%2007%20total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EGATION 2"/>
      <sheetName val="Répartition AP-HP Ile de France"/>
    </sheetNames>
    <sheetDataSet>
      <sheetData sheetId="0">
        <row r="4">
          <cell r="F4">
            <v>42.984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8">
          <cell r="T18">
            <v>11925</v>
          </cell>
        </row>
        <row r="21">
          <cell r="T21">
            <v>111289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6"/>
  <sheetViews>
    <sheetView tabSelected="1" workbookViewId="0" topLeftCell="A1">
      <pane xSplit="1" ySplit="5" topLeftCell="Y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5" sqref="AB5"/>
    </sheetView>
  </sheetViews>
  <sheetFormatPr defaultColWidth="11.421875" defaultRowHeight="12.75" outlineLevelRow="1"/>
  <cols>
    <col min="1" max="1" width="25.8515625" style="1" customWidth="1"/>
    <col min="2" max="2" width="13.57421875" style="1" customWidth="1"/>
    <col min="3" max="3" width="13.00390625" style="1" customWidth="1"/>
    <col min="4" max="5" width="13.421875" style="1" customWidth="1"/>
    <col min="6" max="6" width="12.7109375" style="1" customWidth="1"/>
    <col min="7" max="8" width="13.140625" style="1" customWidth="1"/>
    <col min="9" max="11" width="11.421875" style="1" customWidth="1"/>
    <col min="12" max="12" width="13.421875" style="1" customWidth="1"/>
    <col min="13" max="13" width="11.421875" style="1" customWidth="1"/>
    <col min="14" max="14" width="13.421875" style="1" customWidth="1"/>
    <col min="15" max="15" width="11.421875" style="1" customWidth="1"/>
    <col min="16" max="16" width="12.421875" style="1" customWidth="1"/>
    <col min="17" max="17" width="11.421875" style="1" customWidth="1"/>
    <col min="18" max="18" width="13.140625" style="1" customWidth="1"/>
    <col min="19" max="19" width="12.140625" style="1" customWidth="1"/>
    <col min="20" max="20" width="12.7109375" style="1" customWidth="1"/>
    <col min="21" max="21" width="13.00390625" style="1" customWidth="1"/>
    <col min="22" max="23" width="12.28125" style="1" customWidth="1"/>
    <col min="24" max="28" width="11.421875" style="1" customWidth="1"/>
    <col min="29" max="29" width="11.57421875" style="1" customWidth="1"/>
    <col min="30" max="30" width="12.7109375" style="1" customWidth="1"/>
    <col min="31" max="31" width="13.28125" style="1" customWidth="1"/>
    <col min="32" max="16384" width="11.421875" style="1" customWidth="1"/>
  </cols>
  <sheetData>
    <row r="1" ht="12"/>
    <row r="2" ht="12" hidden="1" outlineLevel="1">
      <c r="D2" s="1">
        <v>22.45</v>
      </c>
    </row>
    <row r="3" ht="12" collapsed="1">
      <c r="A3" s="2" t="s">
        <v>0</v>
      </c>
    </row>
    <row r="4" spans="1:54" ht="12.75">
      <c r="A4" s="3" t="s">
        <v>1</v>
      </c>
      <c r="B4" s="4" t="s">
        <v>2</v>
      </c>
      <c r="C4" s="4" t="s">
        <v>3</v>
      </c>
      <c r="D4" s="5"/>
      <c r="E4" s="4" t="s">
        <v>4</v>
      </c>
      <c r="F4" s="6"/>
      <c r="G4" s="6"/>
      <c r="H4" s="6"/>
      <c r="I4" s="6"/>
      <c r="J4" s="6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84.75" thickBot="1">
      <c r="A5" s="9"/>
      <c r="B5" s="10"/>
      <c r="C5" s="10"/>
      <c r="D5" s="11" t="s">
        <v>5</v>
      </c>
      <c r="E5" s="12" t="s">
        <v>6</v>
      </c>
      <c r="F5" s="13" t="s">
        <v>7</v>
      </c>
      <c r="G5" s="14" t="s">
        <v>8</v>
      </c>
      <c r="H5" s="14" t="s">
        <v>9</v>
      </c>
      <c r="I5" s="12" t="s">
        <v>10</v>
      </c>
      <c r="J5" s="13" t="s">
        <v>11</v>
      </c>
      <c r="K5" s="13" t="s">
        <v>12</v>
      </c>
      <c r="L5" s="15" t="s">
        <v>13</v>
      </c>
      <c r="M5" s="13" t="s">
        <v>14</v>
      </c>
      <c r="N5" s="15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20</v>
      </c>
      <c r="T5" s="13" t="s">
        <v>21</v>
      </c>
      <c r="U5" s="15" t="s">
        <v>22</v>
      </c>
      <c r="V5" s="13" t="s">
        <v>23</v>
      </c>
      <c r="W5" s="13" t="s">
        <v>24</v>
      </c>
      <c r="X5" s="13" t="s">
        <v>25</v>
      </c>
      <c r="Y5" s="13" t="s">
        <v>26</v>
      </c>
      <c r="Z5" s="13" t="s">
        <v>27</v>
      </c>
      <c r="AA5" s="13" t="s">
        <v>28</v>
      </c>
      <c r="AB5" s="13" t="s">
        <v>29</v>
      </c>
      <c r="AC5" s="13" t="s">
        <v>30</v>
      </c>
      <c r="AD5" s="13" t="s">
        <v>31</v>
      </c>
      <c r="AE5" s="13" t="s">
        <v>32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31" ht="12.75" thickTop="1">
      <c r="A6" s="17" t="s">
        <v>33</v>
      </c>
      <c r="B6" s="18">
        <v>141394.56669096366</v>
      </c>
      <c r="C6" s="1">
        <v>53.06865116979835</v>
      </c>
      <c r="D6" s="1">
        <f>7*D2</f>
        <v>157.15</v>
      </c>
      <c r="E6" s="1">
        <v>471.2</v>
      </c>
      <c r="F6" s="19">
        <f>'[1]DELEGATION 2'!$F$4</f>
        <v>42.984</v>
      </c>
      <c r="G6" s="1">
        <v>0</v>
      </c>
      <c r="H6" s="1">
        <v>138.075</v>
      </c>
      <c r="K6" s="1">
        <v>0</v>
      </c>
      <c r="L6" s="1">
        <v>70.43666</v>
      </c>
      <c r="M6" s="1">
        <v>248</v>
      </c>
      <c r="N6" s="1">
        <v>246</v>
      </c>
      <c r="O6" s="1">
        <v>460</v>
      </c>
      <c r="P6" s="1">
        <v>0</v>
      </c>
      <c r="S6" s="1">
        <v>148.63092548572774</v>
      </c>
      <c r="T6" s="1">
        <v>360.5953605355708</v>
      </c>
      <c r="V6" s="1">
        <v>0</v>
      </c>
      <c r="X6" s="1">
        <v>291.61569251886846</v>
      </c>
      <c r="Y6" s="1">
        <v>140.9</v>
      </c>
      <c r="Z6" s="1">
        <v>2608.465</v>
      </c>
      <c r="AA6" s="1">
        <v>0</v>
      </c>
      <c r="AB6" s="1">
        <v>162.512</v>
      </c>
      <c r="AC6" s="1">
        <f>AA6+Z6+Y6+X6+W6+V6+U6+T6+S6+R6+Q6+P6+O6+N6+M6+L6+K6+J6+I6+H6+G6+F6+E6+D6+C6+AB6</f>
        <v>5599.6332897099655</v>
      </c>
      <c r="AD6" s="1">
        <v>-415.8</v>
      </c>
      <c r="AE6" s="1">
        <f>AC6+B6+AD6</f>
        <v>146578.39998067365</v>
      </c>
    </row>
    <row r="7" spans="1:31" ht="12">
      <c r="A7" s="17" t="s">
        <v>34</v>
      </c>
      <c r="B7" s="18">
        <v>198961.93487182783</v>
      </c>
      <c r="C7" s="1">
        <v>86.58799833830406</v>
      </c>
      <c r="D7" s="1">
        <f>7*D2</f>
        <v>157.15</v>
      </c>
      <c r="E7" s="1">
        <v>762.8</v>
      </c>
      <c r="F7" s="1">
        <v>89.543</v>
      </c>
      <c r="G7" s="1">
        <v>0</v>
      </c>
      <c r="H7" s="1">
        <v>165.69</v>
      </c>
      <c r="K7" s="1">
        <v>215</v>
      </c>
      <c r="L7" s="1">
        <v>90.131678</v>
      </c>
      <c r="M7" s="1">
        <v>448</v>
      </c>
      <c r="N7" s="1">
        <v>251</v>
      </c>
      <c r="O7" s="1">
        <v>525</v>
      </c>
      <c r="P7" s="1">
        <v>382.928</v>
      </c>
      <c r="Q7" s="1">
        <v>94</v>
      </c>
      <c r="R7" s="1">
        <v>337.41323315</v>
      </c>
      <c r="S7" s="1">
        <v>233.21218788676507</v>
      </c>
      <c r="T7" s="1">
        <v>1848.9890789773926</v>
      </c>
      <c r="V7" s="1">
        <v>151.83</v>
      </c>
      <c r="X7" s="1">
        <v>1266.479111091585</v>
      </c>
      <c r="Y7" s="1">
        <v>24.9</v>
      </c>
      <c r="Z7" s="1">
        <f>150.29+20</f>
        <v>170.29</v>
      </c>
      <c r="AA7" s="1">
        <v>4.64</v>
      </c>
      <c r="AB7" s="1">
        <v>846.1314699999999</v>
      </c>
      <c r="AC7" s="1">
        <f aca="true" t="shared" si="0" ref="AC7:AC32">AA7+Z7+Y7+X7+W7+V7+U7+T7+S7+R7+Q7+P7+O7+N7+M7+L7+K7+J7+I7+H7+G7+F7+E7+D7+C7+AB7</f>
        <v>8151.715757444045</v>
      </c>
      <c r="AD7" s="1">
        <v>0</v>
      </c>
      <c r="AE7" s="1">
        <f aca="true" t="shared" si="1" ref="AE7:AE32">AC7+B7+AD7</f>
        <v>207113.65062927187</v>
      </c>
    </row>
    <row r="8" spans="1:31" ht="12">
      <c r="A8" s="17" t="s">
        <v>35</v>
      </c>
      <c r="B8" s="18">
        <v>90790.56554511582</v>
      </c>
      <c r="C8" s="1">
        <v>41.26663333707772</v>
      </c>
      <c r="D8" s="1">
        <f>D2</f>
        <v>22.45</v>
      </c>
      <c r="E8" s="1">
        <v>423.2</v>
      </c>
      <c r="F8" s="1">
        <v>63.01100000000001</v>
      </c>
      <c r="G8" s="1">
        <v>0</v>
      </c>
      <c r="H8" s="1">
        <v>0</v>
      </c>
      <c r="K8" s="1">
        <v>108</v>
      </c>
      <c r="L8" s="1">
        <v>122.11813249999999</v>
      </c>
      <c r="M8" s="1">
        <v>551</v>
      </c>
      <c r="N8" s="1">
        <v>58</v>
      </c>
      <c r="O8" s="1">
        <v>510</v>
      </c>
      <c r="P8" s="1">
        <v>0</v>
      </c>
      <c r="R8" s="1">
        <v>87.01418383</v>
      </c>
      <c r="S8" s="1">
        <v>89.93733178791034</v>
      </c>
      <c r="T8" s="1">
        <v>125.88798671589012</v>
      </c>
      <c r="V8" s="1">
        <v>75</v>
      </c>
      <c r="W8" s="1">
        <v>111.29</v>
      </c>
      <c r="X8" s="1">
        <v>432.6742421117093</v>
      </c>
      <c r="Z8" s="1">
        <f>189.2</f>
        <v>189.2</v>
      </c>
      <c r="AA8" s="1">
        <v>0</v>
      </c>
      <c r="AB8" s="1">
        <v>148.157</v>
      </c>
      <c r="AC8" s="1">
        <f t="shared" si="0"/>
        <v>3158.206510282587</v>
      </c>
      <c r="AD8" s="1">
        <v>0</v>
      </c>
      <c r="AE8" s="1">
        <f t="shared" si="1"/>
        <v>93948.77205539841</v>
      </c>
    </row>
    <row r="9" spans="1:31" ht="12">
      <c r="A9" s="17" t="s">
        <v>36</v>
      </c>
      <c r="B9" s="18">
        <v>98581.23771988686</v>
      </c>
      <c r="C9" s="1">
        <v>44.91178769968384</v>
      </c>
      <c r="D9" s="1">
        <f>3*D2</f>
        <v>67.35</v>
      </c>
      <c r="E9" s="1">
        <v>493.2</v>
      </c>
      <c r="F9" s="1">
        <v>63.895</v>
      </c>
      <c r="G9" s="1">
        <v>18.41</v>
      </c>
      <c r="H9" s="1">
        <v>92.05</v>
      </c>
      <c r="I9" s="1">
        <v>21</v>
      </c>
      <c r="K9" s="1">
        <v>28</v>
      </c>
      <c r="L9" s="1">
        <v>65.02089825</v>
      </c>
      <c r="M9" s="1">
        <v>85</v>
      </c>
      <c r="N9" s="1">
        <v>97</v>
      </c>
      <c r="O9" s="1">
        <v>105</v>
      </c>
      <c r="P9" s="1">
        <v>342.426</v>
      </c>
      <c r="R9" s="1">
        <v>0</v>
      </c>
      <c r="S9" s="1">
        <v>154.87967310374634</v>
      </c>
      <c r="T9" s="1">
        <v>279.58342624217715</v>
      </c>
      <c r="U9" s="1">
        <v>200</v>
      </c>
      <c r="V9" s="1">
        <v>34.318025</v>
      </c>
      <c r="X9" s="1">
        <v>98.63544478906425</v>
      </c>
      <c r="Z9" s="1">
        <f>94.60263</f>
        <v>94.60263</v>
      </c>
      <c r="AA9" s="1">
        <v>24.31</v>
      </c>
      <c r="AB9" s="1">
        <v>107.435</v>
      </c>
      <c r="AC9" s="1">
        <f t="shared" si="0"/>
        <v>2517.0278850846717</v>
      </c>
      <c r="AD9" s="1">
        <v>0</v>
      </c>
      <c r="AE9" s="1">
        <f t="shared" si="1"/>
        <v>101098.26560497153</v>
      </c>
    </row>
    <row r="10" spans="1:31" ht="12">
      <c r="A10" s="20" t="s">
        <v>37</v>
      </c>
      <c r="B10" s="21">
        <v>174748.85984771868</v>
      </c>
      <c r="C10" s="22">
        <v>80.17244388931533</v>
      </c>
      <c r="D10" s="22">
        <f>D2</f>
        <v>22.45</v>
      </c>
      <c r="E10" s="22">
        <v>742.4</v>
      </c>
      <c r="F10" s="22">
        <v>102.304</v>
      </c>
      <c r="G10" s="22">
        <v>55.23</v>
      </c>
      <c r="H10" s="22">
        <v>0</v>
      </c>
      <c r="I10" s="22">
        <v>21</v>
      </c>
      <c r="J10" s="22"/>
      <c r="K10" s="22">
        <v>31</v>
      </c>
      <c r="L10" s="22">
        <v>259.15757</v>
      </c>
      <c r="M10" s="22">
        <v>593</v>
      </c>
      <c r="N10" s="22">
        <v>189.5</v>
      </c>
      <c r="O10" s="22">
        <v>565</v>
      </c>
      <c r="P10" s="22">
        <v>0</v>
      </c>
      <c r="Q10" s="22">
        <v>159</v>
      </c>
      <c r="R10" s="22">
        <v>213.396799525</v>
      </c>
      <c r="S10" s="22">
        <v>145.72972123450486</v>
      </c>
      <c r="T10" s="22">
        <v>240.91551251569996</v>
      </c>
      <c r="U10" s="22"/>
      <c r="V10" s="22">
        <v>0</v>
      </c>
      <c r="W10" s="22"/>
      <c r="X10" s="22">
        <v>710.1752024812628</v>
      </c>
      <c r="Y10" s="22">
        <v>121.9</v>
      </c>
      <c r="Z10" s="22">
        <f>222.297+60</f>
        <v>282.297</v>
      </c>
      <c r="AA10" s="22">
        <v>165.67</v>
      </c>
      <c r="AB10" s="22">
        <v>344.705</v>
      </c>
      <c r="AC10" s="22">
        <f t="shared" si="0"/>
        <v>5045.0032496457825</v>
      </c>
      <c r="AD10" s="22">
        <v>-41.24</v>
      </c>
      <c r="AE10" s="22">
        <f t="shared" si="1"/>
        <v>179752.62309736447</v>
      </c>
    </row>
    <row r="11" spans="1:31" ht="12">
      <c r="A11" s="17" t="s">
        <v>38</v>
      </c>
      <c r="B11" s="18">
        <v>135464.29563430464</v>
      </c>
      <c r="C11" s="1">
        <v>74.7101402715085</v>
      </c>
      <c r="D11" s="1">
        <f>3*D2</f>
        <v>67.35</v>
      </c>
      <c r="E11" s="1">
        <v>648.8</v>
      </c>
      <c r="F11" s="1">
        <v>79.91</v>
      </c>
      <c r="G11" s="1">
        <v>0</v>
      </c>
      <c r="H11" s="1">
        <v>128.87</v>
      </c>
      <c r="I11" s="1">
        <v>21</v>
      </c>
      <c r="K11" s="1">
        <v>92</v>
      </c>
      <c r="L11" s="1">
        <v>6.4435</v>
      </c>
      <c r="M11" s="1">
        <v>327</v>
      </c>
      <c r="N11" s="1">
        <v>92</v>
      </c>
      <c r="O11" s="1">
        <v>50</v>
      </c>
      <c r="P11" s="1">
        <v>0</v>
      </c>
      <c r="Q11" s="1">
        <v>30</v>
      </c>
      <c r="R11" s="1">
        <v>30.728729324999996</v>
      </c>
      <c r="S11" s="1">
        <v>199.0672455454492</v>
      </c>
      <c r="T11" s="1">
        <v>347.28890080131737</v>
      </c>
      <c r="V11" s="1">
        <v>473.9</v>
      </c>
      <c r="X11" s="1">
        <v>1065.262803721894</v>
      </c>
      <c r="Z11" s="1">
        <f>52.85075+60</f>
        <v>112.85075</v>
      </c>
      <c r="AA11" s="1">
        <v>0</v>
      </c>
      <c r="AB11" s="1">
        <v>177.321</v>
      </c>
      <c r="AC11" s="1">
        <f t="shared" si="0"/>
        <v>4024.5030696651684</v>
      </c>
      <c r="AD11" s="1">
        <v>0</v>
      </c>
      <c r="AE11" s="1">
        <f t="shared" si="1"/>
        <v>139488.7987039698</v>
      </c>
    </row>
    <row r="12" spans="1:31" ht="12">
      <c r="A12" s="17" t="s">
        <v>39</v>
      </c>
      <c r="B12" s="18">
        <v>99833.85689777671</v>
      </c>
      <c r="C12" s="1">
        <v>42.10615924239878</v>
      </c>
      <c r="D12" s="1">
        <f>5*D2</f>
        <v>112.25</v>
      </c>
      <c r="E12" s="1">
        <v>406.4</v>
      </c>
      <c r="F12" s="1">
        <v>50.638</v>
      </c>
      <c r="G12" s="1">
        <v>14.728</v>
      </c>
      <c r="H12" s="1">
        <v>128.87</v>
      </c>
      <c r="K12" s="1">
        <v>0</v>
      </c>
      <c r="L12" s="1">
        <v>29.262695</v>
      </c>
      <c r="M12" s="1">
        <v>68</v>
      </c>
      <c r="N12" s="1">
        <v>87.5</v>
      </c>
      <c r="O12" s="1">
        <v>250</v>
      </c>
      <c r="P12" s="1">
        <v>0</v>
      </c>
      <c r="R12" s="1">
        <v>55.4037904</v>
      </c>
      <c r="S12" s="1">
        <v>157.3345382393965</v>
      </c>
      <c r="T12" s="1">
        <v>401.14774171428553</v>
      </c>
      <c r="V12" s="1">
        <v>0</v>
      </c>
      <c r="X12" s="1">
        <v>441.5514321427251</v>
      </c>
      <c r="Z12" s="1">
        <v>4600</v>
      </c>
      <c r="AA12" s="1">
        <v>0</v>
      </c>
      <c r="AB12" s="1">
        <v>51.778</v>
      </c>
      <c r="AC12" s="1">
        <f t="shared" si="0"/>
        <v>6896.970356738805</v>
      </c>
      <c r="AD12" s="1">
        <v>0</v>
      </c>
      <c r="AE12" s="1">
        <f t="shared" si="1"/>
        <v>106730.82725451552</v>
      </c>
    </row>
    <row r="13" spans="1:31" ht="12">
      <c r="A13" s="17" t="s">
        <v>40</v>
      </c>
      <c r="B13" s="18">
        <v>14542.805827027805</v>
      </c>
      <c r="C13" s="1">
        <v>2.739006763383775</v>
      </c>
      <c r="D13" s="1">
        <v>0</v>
      </c>
      <c r="E13" s="1">
        <v>155.2</v>
      </c>
      <c r="F13" s="1">
        <v>0</v>
      </c>
      <c r="G13" s="1">
        <v>0</v>
      </c>
      <c r="H13" s="1">
        <v>0</v>
      </c>
      <c r="K13" s="1">
        <v>0</v>
      </c>
      <c r="L13" s="1">
        <v>0</v>
      </c>
      <c r="M13" s="1">
        <v>0</v>
      </c>
      <c r="N13" s="1">
        <v>0</v>
      </c>
      <c r="P13" s="1">
        <v>0</v>
      </c>
      <c r="R13" s="1">
        <v>0</v>
      </c>
      <c r="S13" s="1">
        <v>56.12714378327407</v>
      </c>
      <c r="T13" s="1">
        <v>184.1779367052497</v>
      </c>
      <c r="V13" s="1">
        <v>0</v>
      </c>
      <c r="X13" s="1">
        <v>197.2708895781285</v>
      </c>
      <c r="Z13" s="1">
        <v>60</v>
      </c>
      <c r="AA13" s="1">
        <v>0</v>
      </c>
      <c r="AB13" s="1">
        <v>150</v>
      </c>
      <c r="AC13" s="1">
        <f t="shared" si="0"/>
        <v>805.5149768300361</v>
      </c>
      <c r="AD13" s="1">
        <v>0</v>
      </c>
      <c r="AE13" s="1">
        <f t="shared" si="1"/>
        <v>15348.320803857841</v>
      </c>
    </row>
    <row r="14" spans="1:31" ht="12">
      <c r="A14" s="17" t="s">
        <v>41</v>
      </c>
      <c r="B14" s="18">
        <v>80028.99491275856</v>
      </c>
      <c r="C14" s="1">
        <v>44.00477112384432</v>
      </c>
      <c r="D14" s="1">
        <f>2*D2</f>
        <v>44.9</v>
      </c>
      <c r="E14" s="1">
        <v>223.2</v>
      </c>
      <c r="F14" s="1">
        <v>31.487999999999996</v>
      </c>
      <c r="G14" s="1">
        <v>0</v>
      </c>
      <c r="H14" s="1">
        <v>82.845</v>
      </c>
      <c r="I14" s="1">
        <v>21</v>
      </c>
      <c r="K14" s="1">
        <v>188</v>
      </c>
      <c r="L14" s="1">
        <v>13.853525</v>
      </c>
      <c r="M14" s="1">
        <v>180</v>
      </c>
      <c r="N14" s="1">
        <v>118</v>
      </c>
      <c r="O14" s="1">
        <v>120</v>
      </c>
      <c r="P14" s="1">
        <v>0</v>
      </c>
      <c r="R14" s="1">
        <v>0</v>
      </c>
      <c r="S14" s="1">
        <v>52.22167652201245</v>
      </c>
      <c r="T14" s="1">
        <v>133.81021888685342</v>
      </c>
      <c r="V14" s="1">
        <v>115</v>
      </c>
      <c r="X14" s="1">
        <v>158.3690701533216</v>
      </c>
      <c r="Z14" s="1">
        <v>0</v>
      </c>
      <c r="AA14" s="1">
        <v>0</v>
      </c>
      <c r="AB14" s="1">
        <v>10.58</v>
      </c>
      <c r="AC14" s="1">
        <f t="shared" si="0"/>
        <v>1537.272261686032</v>
      </c>
      <c r="AD14" s="1">
        <v>96.48680999999999</v>
      </c>
      <c r="AE14" s="1">
        <f t="shared" si="1"/>
        <v>81662.75398444459</v>
      </c>
    </row>
    <row r="15" spans="1:31" ht="12">
      <c r="A15" s="17" t="s">
        <v>42</v>
      </c>
      <c r="B15" s="18">
        <v>1163622.9906688228</v>
      </c>
      <c r="C15" s="1">
        <v>264.8162737080487</v>
      </c>
      <c r="D15" s="1">
        <f>62*D2</f>
        <v>1391.8999999999999</v>
      </c>
      <c r="E15" s="1">
        <v>2026.8</v>
      </c>
      <c r="F15" s="1">
        <v>278.972</v>
      </c>
      <c r="G15" s="1">
        <v>277.991</v>
      </c>
      <c r="H15" s="1">
        <v>432.635</v>
      </c>
      <c r="I15" s="1">
        <f>21*2</f>
        <v>42</v>
      </c>
      <c r="J15" s="1">
        <v>100</v>
      </c>
      <c r="K15" s="1">
        <v>1916</v>
      </c>
      <c r="L15" s="1">
        <v>907.787895</v>
      </c>
      <c r="M15" s="1">
        <v>6003</v>
      </c>
      <c r="N15" s="1">
        <v>2123</v>
      </c>
      <c r="O15" s="1">
        <v>3207</v>
      </c>
      <c r="P15" s="1">
        <v>1024.516</v>
      </c>
      <c r="Q15" s="1">
        <v>1867</v>
      </c>
      <c r="R15" s="1">
        <v>3400.6119269674996</v>
      </c>
      <c r="S15" s="1">
        <v>1103.461878474746</v>
      </c>
      <c r="T15" s="1">
        <v>1168.371394132523</v>
      </c>
      <c r="V15" s="1">
        <v>692.8266666666668</v>
      </c>
      <c r="X15" s="1">
        <v>532.631401860947</v>
      </c>
      <c r="Y15" s="1">
        <v>285.1</v>
      </c>
      <c r="Z15" s="1">
        <f>1529.187795+500+5.33+10+8.63</f>
        <v>2053.147795</v>
      </c>
      <c r="AA15" s="1">
        <v>43.72</v>
      </c>
      <c r="AB15" s="1">
        <v>793.18264</v>
      </c>
      <c r="AC15" s="1">
        <f t="shared" si="0"/>
        <v>31936.47187181043</v>
      </c>
      <c r="AD15" s="1">
        <v>-40.77</v>
      </c>
      <c r="AE15" s="1">
        <f t="shared" si="1"/>
        <v>1195518.6925406333</v>
      </c>
    </row>
    <row r="16" spans="1:31" ht="12">
      <c r="A16" s="20" t="s">
        <v>43</v>
      </c>
      <c r="B16" s="21">
        <v>154432.76875807403</v>
      </c>
      <c r="C16" s="22">
        <v>69.3623078408706</v>
      </c>
      <c r="D16" s="22">
        <f>5*D2</f>
        <v>112.25</v>
      </c>
      <c r="E16" s="22">
        <v>632</v>
      </c>
      <c r="F16" s="22">
        <v>55.191</v>
      </c>
      <c r="G16" s="22">
        <v>27.615</v>
      </c>
      <c r="H16" s="22">
        <v>124.2675</v>
      </c>
      <c r="I16" s="22"/>
      <c r="J16" s="22"/>
      <c r="K16" s="22">
        <v>108</v>
      </c>
      <c r="L16" s="22">
        <v>164.7556925</v>
      </c>
      <c r="M16" s="22">
        <v>450</v>
      </c>
      <c r="N16" s="22">
        <v>392</v>
      </c>
      <c r="O16" s="22">
        <v>700</v>
      </c>
      <c r="P16" s="22">
        <v>0</v>
      </c>
      <c r="Q16" s="22">
        <v>100</v>
      </c>
      <c r="R16" s="22">
        <v>261.915065825</v>
      </c>
      <c r="S16" s="22">
        <v>166.26132055085162</v>
      </c>
      <c r="T16" s="22">
        <v>516.7967822249194</v>
      </c>
      <c r="U16" s="22"/>
      <c r="V16" s="22">
        <v>101.667</v>
      </c>
      <c r="W16" s="22"/>
      <c r="X16" s="22">
        <v>1481.6917880768444</v>
      </c>
      <c r="Y16" s="22">
        <v>136.7</v>
      </c>
      <c r="Z16" s="22">
        <v>167.93</v>
      </c>
      <c r="AA16" s="22">
        <v>0</v>
      </c>
      <c r="AB16" s="22">
        <v>1154.97149</v>
      </c>
      <c r="AC16" s="22">
        <f t="shared" si="0"/>
        <v>6923.374947018485</v>
      </c>
      <c r="AD16" s="22">
        <v>0</v>
      </c>
      <c r="AE16" s="22">
        <f t="shared" si="1"/>
        <v>161356.14370509252</v>
      </c>
    </row>
    <row r="17" spans="1:31" ht="12">
      <c r="A17" s="17" t="s">
        <v>44</v>
      </c>
      <c r="B17" s="18">
        <v>66038.82383841</v>
      </c>
      <c r="C17" s="1">
        <v>31.056043924237454</v>
      </c>
      <c r="D17" s="1">
        <f>D2</f>
        <v>22.45</v>
      </c>
      <c r="E17" s="1">
        <v>364.4</v>
      </c>
      <c r="F17" s="1">
        <v>29.905</v>
      </c>
      <c r="G17" s="1">
        <v>0</v>
      </c>
      <c r="H17" s="1">
        <v>82.845</v>
      </c>
      <c r="K17" s="1">
        <v>62</v>
      </c>
      <c r="L17" s="1">
        <v>30.183195</v>
      </c>
      <c r="M17" s="1">
        <v>332</v>
      </c>
      <c r="N17" s="1">
        <v>11</v>
      </c>
      <c r="P17" s="1">
        <v>0</v>
      </c>
      <c r="R17" s="1">
        <v>69.9016654</v>
      </c>
      <c r="S17" s="1">
        <v>85.47394063218277</v>
      </c>
      <c r="T17" s="1">
        <v>152.99367233136869</v>
      </c>
      <c r="V17" s="1">
        <v>77.3325</v>
      </c>
      <c r="X17" s="1">
        <v>109.4557530824246</v>
      </c>
      <c r="Y17" s="1">
        <v>51.9</v>
      </c>
      <c r="Z17" s="1">
        <f>10.5925+10</f>
        <v>20.5925</v>
      </c>
      <c r="AA17" s="1">
        <v>0</v>
      </c>
      <c r="AB17" s="1">
        <v>17.325</v>
      </c>
      <c r="AC17" s="1">
        <f t="shared" si="0"/>
        <v>1550.8142703702135</v>
      </c>
      <c r="AD17" s="1">
        <v>0</v>
      </c>
      <c r="AE17" s="1">
        <f t="shared" si="1"/>
        <v>67589.63810878021</v>
      </c>
    </row>
    <row r="18" spans="1:31" ht="12">
      <c r="A18" s="17" t="s">
        <v>45</v>
      </c>
      <c r="B18" s="18">
        <v>167542.16697457893</v>
      </c>
      <c r="C18" s="1">
        <v>75.8373839782471</v>
      </c>
      <c r="D18" s="1">
        <f>5*D2</f>
        <v>112.25</v>
      </c>
      <c r="E18" s="1">
        <v>643.6</v>
      </c>
      <c r="F18" s="1">
        <v>109.592</v>
      </c>
      <c r="G18" s="1">
        <v>0</v>
      </c>
      <c r="H18" s="1">
        <v>0</v>
      </c>
      <c r="I18" s="1">
        <v>21</v>
      </c>
      <c r="K18" s="1">
        <v>0</v>
      </c>
      <c r="L18" s="1">
        <v>63.707805</v>
      </c>
      <c r="M18" s="1">
        <v>133</v>
      </c>
      <c r="N18" s="1">
        <v>324.5</v>
      </c>
      <c r="O18" s="1">
        <v>350</v>
      </c>
      <c r="P18" s="1">
        <v>0</v>
      </c>
      <c r="Q18" s="1">
        <v>40</v>
      </c>
      <c r="R18" s="1">
        <v>0</v>
      </c>
      <c r="S18" s="1">
        <v>297.48502052924187</v>
      </c>
      <c r="T18" s="1">
        <v>218.9890528498335</v>
      </c>
      <c r="V18" s="1">
        <v>12.5</v>
      </c>
      <c r="X18" s="1">
        <v>1331.5785046523677</v>
      </c>
      <c r="Y18" s="1">
        <v>8.7</v>
      </c>
      <c r="Z18" s="1">
        <f>283.8</f>
        <v>283.8</v>
      </c>
      <c r="AA18" s="1">
        <v>93.83</v>
      </c>
      <c r="AB18" s="1">
        <v>13.86</v>
      </c>
      <c r="AC18" s="1">
        <f t="shared" si="0"/>
        <v>4134.22976700969</v>
      </c>
      <c r="AD18" s="1">
        <v>319.31319</v>
      </c>
      <c r="AE18" s="1">
        <f t="shared" si="1"/>
        <v>171995.70993158862</v>
      </c>
    </row>
    <row r="19" spans="1:31" ht="12">
      <c r="A19" s="17" t="s">
        <v>46</v>
      </c>
      <c r="B19" s="18">
        <v>205473.99375052028</v>
      </c>
      <c r="C19" s="1">
        <v>99.60726144424889</v>
      </c>
      <c r="D19" s="1">
        <f>7*D2</f>
        <v>157.15</v>
      </c>
      <c r="E19" s="1">
        <v>687.2</v>
      </c>
      <c r="F19" s="1">
        <v>70.163</v>
      </c>
      <c r="G19" s="1">
        <v>27.615</v>
      </c>
      <c r="H19" s="1">
        <v>229.2045</v>
      </c>
      <c r="K19" s="23">
        <v>224</v>
      </c>
      <c r="L19" s="1">
        <v>24.8535</v>
      </c>
      <c r="M19" s="1">
        <v>293</v>
      </c>
      <c r="N19" s="1">
        <v>251</v>
      </c>
      <c r="O19" s="1">
        <v>1240</v>
      </c>
      <c r="P19" s="1">
        <v>0</v>
      </c>
      <c r="Q19" s="1">
        <v>87</v>
      </c>
      <c r="R19" s="1">
        <f>222.6899374+61.38</f>
        <v>284.0699374</v>
      </c>
      <c r="S19" s="1">
        <v>215.80496237942754</v>
      </c>
      <c r="T19" s="1">
        <v>803.8681994818083</v>
      </c>
      <c r="V19" s="1">
        <v>83.8</v>
      </c>
      <c r="W19" s="1">
        <f>'[2]Feuil1'!$T$18/1000</f>
        <v>11.925</v>
      </c>
      <c r="X19" s="1">
        <v>798.9471027914204</v>
      </c>
      <c r="Y19" s="1">
        <v>127.3</v>
      </c>
      <c r="AA19" s="1">
        <v>10.74</v>
      </c>
      <c r="AB19" s="1">
        <v>252.929</v>
      </c>
      <c r="AC19" s="1">
        <f t="shared" si="0"/>
        <v>5980.177463496905</v>
      </c>
      <c r="AD19" s="1">
        <v>0</v>
      </c>
      <c r="AE19" s="1">
        <f t="shared" si="1"/>
        <v>211454.1712140172</v>
      </c>
    </row>
    <row r="20" spans="1:31" ht="12">
      <c r="A20" s="17" t="s">
        <v>47</v>
      </c>
      <c r="B20" s="18">
        <v>242184.40661233835</v>
      </c>
      <c r="C20" s="1">
        <v>90.14729240996596</v>
      </c>
      <c r="D20" s="1">
        <f>4*D2</f>
        <v>89.8</v>
      </c>
      <c r="E20" s="1">
        <v>992.4</v>
      </c>
      <c r="F20" s="1">
        <v>120.507</v>
      </c>
      <c r="G20" s="1">
        <v>0</v>
      </c>
      <c r="H20" s="1">
        <v>289.9575</v>
      </c>
      <c r="I20" s="1">
        <v>21</v>
      </c>
      <c r="K20" s="1">
        <v>71</v>
      </c>
      <c r="L20" s="1">
        <v>235.2844025</v>
      </c>
      <c r="M20" s="1">
        <v>314</v>
      </c>
      <c r="N20" s="1">
        <v>255</v>
      </c>
      <c r="O20" s="1">
        <v>1140</v>
      </c>
      <c r="P20" s="1">
        <v>287.196</v>
      </c>
      <c r="Q20" s="1">
        <v>87</v>
      </c>
      <c r="R20" s="1">
        <f>685.5460339875-54.94</f>
        <v>630.6060339875</v>
      </c>
      <c r="S20" s="1">
        <f>460.064043376618+350</f>
        <v>810.064043376618</v>
      </c>
      <c r="T20" s="1">
        <v>1751.9722349595913</v>
      </c>
      <c r="V20" s="1">
        <v>57.55</v>
      </c>
      <c r="X20" s="1">
        <v>1003.1224735047836</v>
      </c>
      <c r="Z20" s="1">
        <f>94.6+2500</f>
        <v>2594.6</v>
      </c>
      <c r="AA20" s="1">
        <v>0</v>
      </c>
      <c r="AB20" s="1">
        <v>625.219</v>
      </c>
      <c r="AC20" s="1">
        <f t="shared" si="0"/>
        <v>11466.425980738459</v>
      </c>
      <c r="AE20" s="1">
        <f t="shared" si="1"/>
        <v>253650.8325930768</v>
      </c>
    </row>
    <row r="21" spans="1:31" ht="12">
      <c r="A21" s="17" t="s">
        <v>48</v>
      </c>
      <c r="B21" s="18">
        <v>103651.85489582701</v>
      </c>
      <c r="C21" s="1">
        <v>56.89677757477894</v>
      </c>
      <c r="D21" s="1">
        <f>D2</f>
        <v>22.45</v>
      </c>
      <c r="E21" s="1">
        <v>290.4</v>
      </c>
      <c r="F21" s="1">
        <v>40.038</v>
      </c>
      <c r="G21" s="1">
        <v>27.615</v>
      </c>
      <c r="H21" s="1">
        <v>0</v>
      </c>
      <c r="K21" s="1">
        <v>62</v>
      </c>
      <c r="L21" s="1">
        <v>30.46855</v>
      </c>
      <c r="M21" s="1">
        <v>85</v>
      </c>
      <c r="N21" s="1">
        <v>135</v>
      </c>
      <c r="O21" s="1">
        <v>310</v>
      </c>
      <c r="P21" s="1">
        <v>0</v>
      </c>
      <c r="Q21" s="1">
        <v>40</v>
      </c>
      <c r="R21" s="1">
        <v>0</v>
      </c>
      <c r="S21" s="1">
        <v>172.62165294776338</v>
      </c>
      <c r="T21" s="1">
        <v>524.718131174855</v>
      </c>
      <c r="V21" s="1">
        <v>45</v>
      </c>
      <c r="X21" s="1">
        <v>344.53360864820144</v>
      </c>
      <c r="Z21" s="1">
        <v>0</v>
      </c>
      <c r="AA21" s="1">
        <v>0</v>
      </c>
      <c r="AB21" s="1">
        <v>31.133</v>
      </c>
      <c r="AC21" s="1">
        <f t="shared" si="0"/>
        <v>2217.8747203455982</v>
      </c>
      <c r="AD21" s="1">
        <v>0</v>
      </c>
      <c r="AE21" s="1">
        <f t="shared" si="1"/>
        <v>105869.72961617261</v>
      </c>
    </row>
    <row r="22" spans="1:31" ht="12">
      <c r="A22" s="20" t="s">
        <v>49</v>
      </c>
      <c r="B22" s="21">
        <v>131126.9375400924</v>
      </c>
      <c r="C22" s="22">
        <v>38.75860678273926</v>
      </c>
      <c r="D22" s="22">
        <f>3*D2</f>
        <v>67.35</v>
      </c>
      <c r="E22" s="22">
        <v>494.4</v>
      </c>
      <c r="F22" s="22">
        <v>61.336</v>
      </c>
      <c r="G22" s="22">
        <v>0</v>
      </c>
      <c r="H22" s="22">
        <v>82.845</v>
      </c>
      <c r="I22" s="22"/>
      <c r="J22" s="22"/>
      <c r="K22" s="22">
        <v>0</v>
      </c>
      <c r="L22" s="22">
        <v>75.36731825</v>
      </c>
      <c r="M22" s="22">
        <v>85</v>
      </c>
      <c r="N22" s="22">
        <v>35</v>
      </c>
      <c r="O22" s="22">
        <v>500</v>
      </c>
      <c r="P22" s="22">
        <v>0</v>
      </c>
      <c r="Q22" s="22"/>
      <c r="R22" s="22">
        <v>190.39189365000001</v>
      </c>
      <c r="S22" s="22">
        <v>212.68058857041825</v>
      </c>
      <c r="T22" s="22">
        <v>498.93229448946477</v>
      </c>
      <c r="U22" s="22"/>
      <c r="V22" s="22">
        <v>0</v>
      </c>
      <c r="W22" s="22">
        <f>'[2]Feuil1'!$T$21/1000</f>
        <v>111.289</v>
      </c>
      <c r="X22" s="22">
        <v>617.7636542583883</v>
      </c>
      <c r="Y22" s="22"/>
      <c r="Z22" s="22">
        <f>94.6+2500+11.5</f>
        <v>2606.1</v>
      </c>
      <c r="AA22" s="22">
        <v>0</v>
      </c>
      <c r="AB22" s="22">
        <v>71.068</v>
      </c>
      <c r="AC22" s="22">
        <f t="shared" si="0"/>
        <v>5748.282356001012</v>
      </c>
      <c r="AD22" s="22">
        <v>0</v>
      </c>
      <c r="AE22" s="22">
        <f t="shared" si="1"/>
        <v>136875.2198960934</v>
      </c>
    </row>
    <row r="23" spans="1:31" ht="12">
      <c r="A23" s="17" t="s">
        <v>50</v>
      </c>
      <c r="B23" s="18">
        <v>166696.79871074992</v>
      </c>
      <c r="C23" s="1">
        <v>81.90691108403212</v>
      </c>
      <c r="D23" s="1">
        <f>2*D2</f>
        <v>44.9</v>
      </c>
      <c r="E23" s="1">
        <v>648</v>
      </c>
      <c r="F23" s="1">
        <v>111.942</v>
      </c>
      <c r="G23" s="1">
        <v>0</v>
      </c>
      <c r="H23" s="1">
        <v>193.305</v>
      </c>
      <c r="I23" s="1">
        <f>21*2</f>
        <v>42</v>
      </c>
      <c r="K23" s="1">
        <v>353</v>
      </c>
      <c r="L23" s="1">
        <v>123.55089075</v>
      </c>
      <c r="M23" s="1">
        <v>545</v>
      </c>
      <c r="N23" s="1">
        <f>280+25</f>
        <v>305</v>
      </c>
      <c r="O23" s="1">
        <v>820</v>
      </c>
      <c r="P23" s="1">
        <v>366.359</v>
      </c>
      <c r="Q23" s="1">
        <v>55</v>
      </c>
      <c r="R23" s="1">
        <f>237.007072225-6.44</f>
        <v>230.567072225</v>
      </c>
      <c r="S23" s="1">
        <v>147.73824725458223</v>
      </c>
      <c r="T23" s="1">
        <v>238.20434565059608</v>
      </c>
      <c r="U23" s="1">
        <v>625</v>
      </c>
      <c r="V23" s="1">
        <v>0</v>
      </c>
      <c r="X23" s="1">
        <v>408.350741426726</v>
      </c>
      <c r="Y23" s="1">
        <v>24.3</v>
      </c>
      <c r="Z23" s="1">
        <f>-12.2190000000001+10+1000</f>
        <v>997.781</v>
      </c>
      <c r="AA23" s="1">
        <v>0</v>
      </c>
      <c r="AB23" s="1">
        <v>552.915</v>
      </c>
      <c r="AC23" s="1">
        <f t="shared" si="0"/>
        <v>6914.820208390936</v>
      </c>
      <c r="AD23" s="1">
        <v>-15.69</v>
      </c>
      <c r="AE23" s="1">
        <f t="shared" si="1"/>
        <v>173595.92891914086</v>
      </c>
    </row>
    <row r="24" spans="1:31" ht="12">
      <c r="A24" s="17" t="s">
        <v>51</v>
      </c>
      <c r="B24" s="18">
        <v>111762.89063971977</v>
      </c>
      <c r="C24" s="1">
        <v>62.90479885423134</v>
      </c>
      <c r="D24" s="1">
        <f>3*D2</f>
        <v>67.35</v>
      </c>
      <c r="E24" s="1">
        <v>516.4</v>
      </c>
      <c r="F24" s="1">
        <v>55.281</v>
      </c>
      <c r="G24" s="1">
        <v>0</v>
      </c>
      <c r="H24" s="1">
        <v>92.05</v>
      </c>
      <c r="K24" s="1">
        <v>0</v>
      </c>
      <c r="L24" s="1">
        <v>0</v>
      </c>
      <c r="M24" s="1">
        <v>79</v>
      </c>
      <c r="N24" s="1">
        <v>88</v>
      </c>
      <c r="P24" s="1">
        <v>0</v>
      </c>
      <c r="Q24" s="1">
        <v>15</v>
      </c>
      <c r="R24" s="1">
        <v>105.1474493125</v>
      </c>
      <c r="S24" s="1">
        <v>206.32025617350646</v>
      </c>
      <c r="T24" s="1">
        <v>495.0766083417139</v>
      </c>
      <c r="V24" s="1">
        <v>145.84</v>
      </c>
      <c r="X24" s="1">
        <v>1694.6555769209128</v>
      </c>
      <c r="Y24" s="1">
        <v>5</v>
      </c>
      <c r="Z24" s="1">
        <v>0</v>
      </c>
      <c r="AA24" s="1">
        <v>0</v>
      </c>
      <c r="AB24" s="1">
        <v>151.849</v>
      </c>
      <c r="AC24" s="1">
        <f t="shared" si="0"/>
        <v>3779.874689602865</v>
      </c>
      <c r="AD24" s="1">
        <v>0</v>
      </c>
      <c r="AE24" s="1">
        <f t="shared" si="1"/>
        <v>115542.76532932263</v>
      </c>
    </row>
    <row r="25" spans="1:31" ht="12">
      <c r="A25" s="17" t="s">
        <v>52</v>
      </c>
      <c r="B25" s="18">
        <v>95078.13272775867</v>
      </c>
      <c r="C25" s="1">
        <v>50.83876267707575</v>
      </c>
      <c r="D25" s="1">
        <v>0</v>
      </c>
      <c r="E25" s="1">
        <v>496.4</v>
      </c>
      <c r="F25" s="1">
        <v>54.649</v>
      </c>
      <c r="G25" s="1">
        <v>0</v>
      </c>
      <c r="H25" s="1">
        <v>0</v>
      </c>
      <c r="K25" s="1">
        <v>0</v>
      </c>
      <c r="L25" s="1">
        <v>20.63438825</v>
      </c>
      <c r="M25" s="1">
        <v>173</v>
      </c>
      <c r="N25" s="1">
        <v>111.5</v>
      </c>
      <c r="O25" s="1">
        <v>150</v>
      </c>
      <c r="P25" s="1">
        <v>0</v>
      </c>
      <c r="R25" s="1">
        <v>30.728729324999996</v>
      </c>
      <c r="S25" s="1">
        <v>126.98347838044909</v>
      </c>
      <c r="T25" s="1">
        <v>354.6909168854489</v>
      </c>
      <c r="V25" s="1">
        <v>101</v>
      </c>
      <c r="X25" s="1">
        <v>180.20695762962038</v>
      </c>
      <c r="Y25" s="1">
        <v>43.1</v>
      </c>
      <c r="Z25" s="1">
        <v>0</v>
      </c>
      <c r="AA25" s="1">
        <v>9.2</v>
      </c>
      <c r="AB25" s="1">
        <v>403.777</v>
      </c>
      <c r="AC25" s="1">
        <f t="shared" si="0"/>
        <v>2306.709233147594</v>
      </c>
      <c r="AD25" s="1">
        <v>0</v>
      </c>
      <c r="AE25" s="1">
        <f t="shared" si="1"/>
        <v>97384.84196090625</v>
      </c>
    </row>
    <row r="26" spans="1:31" ht="12">
      <c r="A26" s="17" t="s">
        <v>53</v>
      </c>
      <c r="B26" s="18">
        <v>359726.0827370969</v>
      </c>
      <c r="C26" s="1">
        <v>131.60959716764364</v>
      </c>
      <c r="D26" s="1">
        <f>17*D2</f>
        <v>381.65</v>
      </c>
      <c r="E26" s="1">
        <v>1114</v>
      </c>
      <c r="F26" s="1">
        <v>108.382</v>
      </c>
      <c r="G26" s="1">
        <v>99.87425</v>
      </c>
      <c r="H26" s="1">
        <v>220.92</v>
      </c>
      <c r="I26" s="1">
        <v>21</v>
      </c>
      <c r="K26" s="1">
        <v>767</v>
      </c>
      <c r="L26" s="1">
        <v>175.65211125</v>
      </c>
      <c r="M26" s="1">
        <v>1130</v>
      </c>
      <c r="N26" s="1">
        <v>471</v>
      </c>
      <c r="O26" s="1">
        <v>1528</v>
      </c>
      <c r="P26" s="1">
        <v>436.317</v>
      </c>
      <c r="Q26" s="1">
        <v>100</v>
      </c>
      <c r="R26" s="1">
        <v>109.36745854999998</v>
      </c>
      <c r="S26" s="1">
        <f>664.82211264562+90</f>
        <v>754.82211264562</v>
      </c>
      <c r="T26" s="1">
        <v>1013.7889777908725</v>
      </c>
      <c r="V26" s="1">
        <v>27.5</v>
      </c>
      <c r="X26" s="1">
        <v>3961.8307295754703</v>
      </c>
      <c r="Y26" s="1">
        <v>37.6</v>
      </c>
      <c r="Z26" s="1">
        <f>306.856</f>
        <v>306.856</v>
      </c>
      <c r="AA26" s="1">
        <v>23.65</v>
      </c>
      <c r="AB26" s="1">
        <v>391.034</v>
      </c>
      <c r="AC26" s="1">
        <f t="shared" si="0"/>
        <v>13311.854236979605</v>
      </c>
      <c r="AD26" s="1">
        <v>0</v>
      </c>
      <c r="AE26" s="1">
        <f t="shared" si="1"/>
        <v>373037.9369740765</v>
      </c>
    </row>
    <row r="27" spans="1:31" ht="12">
      <c r="A27" s="17" t="s">
        <v>54</v>
      </c>
      <c r="B27" s="18">
        <v>465674.43390342826</v>
      </c>
      <c r="C27" s="1">
        <v>219.3331434790211</v>
      </c>
      <c r="D27" s="1">
        <f>11*D2</f>
        <v>246.95</v>
      </c>
      <c r="E27" s="1">
        <v>1307.6</v>
      </c>
      <c r="F27" s="1">
        <v>182.384</v>
      </c>
      <c r="G27" s="1">
        <v>0</v>
      </c>
      <c r="H27" s="1">
        <v>208.9535</v>
      </c>
      <c r="I27" s="1">
        <v>21</v>
      </c>
      <c r="J27" s="1">
        <v>120</v>
      </c>
      <c r="K27" s="1">
        <v>476</v>
      </c>
      <c r="L27" s="1">
        <v>182.35473199999998</v>
      </c>
      <c r="M27" s="1">
        <v>1983</v>
      </c>
      <c r="N27" s="1">
        <v>492</v>
      </c>
      <c r="O27" s="1">
        <v>2350</v>
      </c>
      <c r="P27" s="1">
        <v>382.008</v>
      </c>
      <c r="Q27" s="1">
        <v>547.75</v>
      </c>
      <c r="R27" s="1">
        <v>405.91859209999996</v>
      </c>
      <c r="S27" s="1">
        <v>301.5020725693967</v>
      </c>
      <c r="T27" s="1">
        <v>2603.415231259507</v>
      </c>
      <c r="U27" s="1">
        <v>625</v>
      </c>
      <c r="V27" s="1">
        <v>250.931</v>
      </c>
      <c r="X27" s="1">
        <v>1283.1978189833314</v>
      </c>
      <c r="Y27" s="1">
        <v>114.5</v>
      </c>
      <c r="Z27" s="1">
        <f>204.445-(60.98*0.25)</f>
        <v>189.2</v>
      </c>
      <c r="AA27" s="1">
        <v>0</v>
      </c>
      <c r="AB27" s="1">
        <v>925.34905</v>
      </c>
      <c r="AC27" s="1">
        <f t="shared" si="0"/>
        <v>15418.347140391257</v>
      </c>
      <c r="AD27" s="1">
        <v>15.69</v>
      </c>
      <c r="AE27" s="1">
        <f t="shared" si="1"/>
        <v>481108.4710438195</v>
      </c>
    </row>
    <row r="28" spans="1:31" ht="12">
      <c r="A28" s="24" t="s">
        <v>55</v>
      </c>
      <c r="B28" s="25">
        <f aca="true" t="shared" si="2" ref="B28:AE28">SUM(B6:B27)</f>
        <v>4467359.399704797</v>
      </c>
      <c r="C28" s="26">
        <f t="shared" si="2"/>
        <v>1742.6427527604553</v>
      </c>
      <c r="D28" s="26">
        <f t="shared" si="2"/>
        <v>3367.4999999999995</v>
      </c>
      <c r="E28" s="26">
        <f t="shared" si="2"/>
        <v>14540</v>
      </c>
      <c r="F28" s="26">
        <f t="shared" si="2"/>
        <v>1802.1149999999998</v>
      </c>
      <c r="G28" s="26">
        <f t="shared" si="2"/>
        <v>549.07825</v>
      </c>
      <c r="H28" s="26">
        <f t="shared" si="2"/>
        <v>2693.3830000000003</v>
      </c>
      <c r="I28" s="26">
        <f t="shared" si="2"/>
        <v>252</v>
      </c>
      <c r="J28" s="26">
        <f t="shared" si="2"/>
        <v>220</v>
      </c>
      <c r="K28" s="26">
        <f t="shared" si="2"/>
        <v>4701</v>
      </c>
      <c r="L28" s="26">
        <f t="shared" si="2"/>
        <v>2691.02513925</v>
      </c>
      <c r="M28" s="26">
        <f t="shared" si="2"/>
        <v>14105</v>
      </c>
      <c r="N28" s="26">
        <f t="shared" si="2"/>
        <v>6133</v>
      </c>
      <c r="O28" s="26">
        <f t="shared" si="2"/>
        <v>14880</v>
      </c>
      <c r="P28" s="26">
        <f t="shared" si="2"/>
        <v>3221.75</v>
      </c>
      <c r="Q28" s="26">
        <f t="shared" si="2"/>
        <v>3221.75</v>
      </c>
      <c r="R28" s="26">
        <f t="shared" si="2"/>
        <v>6443.182560972499</v>
      </c>
      <c r="S28" s="26">
        <f t="shared" si="2"/>
        <v>5838.36001807359</v>
      </c>
      <c r="T28" s="26">
        <f t="shared" si="2"/>
        <v>14264.214004666941</v>
      </c>
      <c r="U28" s="26">
        <f t="shared" si="2"/>
        <v>1450</v>
      </c>
      <c r="V28" s="26">
        <f t="shared" si="2"/>
        <v>2445.995191666667</v>
      </c>
      <c r="W28" s="26">
        <f t="shared" si="2"/>
        <v>234.50400000000002</v>
      </c>
      <c r="X28" s="26">
        <f t="shared" si="2"/>
        <v>18410</v>
      </c>
      <c r="Y28" s="26">
        <f t="shared" si="2"/>
        <v>1121.9</v>
      </c>
      <c r="Z28" s="26">
        <f t="shared" si="2"/>
        <v>17337.712675000002</v>
      </c>
      <c r="AA28" s="26">
        <f t="shared" si="2"/>
        <v>375.75999999999993</v>
      </c>
      <c r="AB28" s="26">
        <f t="shared" si="2"/>
        <v>7383.231649999999</v>
      </c>
      <c r="AC28" s="26">
        <f>SUM(AC6:AC27)</f>
        <v>149425.10424239017</v>
      </c>
      <c r="AD28" s="26">
        <f t="shared" si="2"/>
        <v>-82.00999999999999</v>
      </c>
      <c r="AE28" s="26">
        <f t="shared" si="2"/>
        <v>4616702.493947187</v>
      </c>
    </row>
    <row r="29" spans="1:31" ht="12">
      <c r="A29" s="17" t="s">
        <v>56</v>
      </c>
      <c r="B29" s="18">
        <v>43839.92936092507</v>
      </c>
      <c r="C29" s="1">
        <v>9.490428031659421</v>
      </c>
      <c r="E29" s="1">
        <v>100</v>
      </c>
      <c r="F29" s="1">
        <v>13.26</v>
      </c>
      <c r="G29" s="1">
        <v>0</v>
      </c>
      <c r="H29" s="1">
        <v>0</v>
      </c>
      <c r="K29" s="1">
        <v>0</v>
      </c>
      <c r="M29" s="1">
        <v>6</v>
      </c>
      <c r="N29" s="1">
        <v>0</v>
      </c>
      <c r="P29" s="1">
        <v>0</v>
      </c>
      <c r="R29" s="1">
        <v>0</v>
      </c>
      <c r="S29" s="18">
        <v>70.63316503938864</v>
      </c>
      <c r="T29" s="1">
        <v>71.79413148854033</v>
      </c>
      <c r="V29" s="1">
        <v>0</v>
      </c>
      <c r="Z29" s="1">
        <f>3650</f>
        <v>3650</v>
      </c>
      <c r="AA29" s="1">
        <v>2092</v>
      </c>
      <c r="AB29" s="1">
        <v>100.71075</v>
      </c>
      <c r="AC29" s="1">
        <f t="shared" si="0"/>
        <v>6113.888474559589</v>
      </c>
      <c r="AD29" s="1">
        <v>0</v>
      </c>
      <c r="AE29" s="1">
        <f t="shared" si="1"/>
        <v>49953.81783548465</v>
      </c>
    </row>
    <row r="30" spans="1:31" ht="12">
      <c r="A30" s="17" t="s">
        <v>57</v>
      </c>
      <c r="B30" s="18">
        <v>2.9941299509552977</v>
      </c>
      <c r="AB30" s="1">
        <v>100.71075</v>
      </c>
      <c r="AC30" s="1">
        <f t="shared" si="0"/>
        <v>100.71075</v>
      </c>
      <c r="AD30" s="1">
        <v>0</v>
      </c>
      <c r="AE30" s="1">
        <f t="shared" si="1"/>
        <v>103.7048799509553</v>
      </c>
    </row>
    <row r="31" spans="1:31" ht="12">
      <c r="A31" s="17" t="s">
        <v>58</v>
      </c>
      <c r="B31" s="18">
        <v>37632.150094760465</v>
      </c>
      <c r="C31" s="1">
        <v>12.397498028248553</v>
      </c>
      <c r="E31" s="1">
        <v>100</v>
      </c>
      <c r="F31" s="1">
        <v>7.744</v>
      </c>
      <c r="G31" s="1">
        <v>0</v>
      </c>
      <c r="H31" s="1">
        <v>0</v>
      </c>
      <c r="J31" s="1">
        <v>88</v>
      </c>
      <c r="K31" s="1">
        <v>0</v>
      </c>
      <c r="M31" s="1">
        <v>14</v>
      </c>
      <c r="N31" s="1">
        <v>25</v>
      </c>
      <c r="P31" s="1">
        <v>0</v>
      </c>
      <c r="R31" s="1">
        <v>0</v>
      </c>
      <c r="S31" s="1">
        <v>57.35457635109915</v>
      </c>
      <c r="T31" s="1">
        <v>310.33996706225446</v>
      </c>
      <c r="V31" s="1">
        <v>0</v>
      </c>
      <c r="X31" s="1">
        <v>369</v>
      </c>
      <c r="Z31" s="1">
        <f>130+50+60</f>
        <v>240</v>
      </c>
      <c r="AA31" s="1">
        <v>0</v>
      </c>
      <c r="AB31" s="1">
        <v>100.71075</v>
      </c>
      <c r="AC31" s="1">
        <f t="shared" si="0"/>
        <v>1324.546791441602</v>
      </c>
      <c r="AD31" s="1">
        <v>0</v>
      </c>
      <c r="AE31" s="1">
        <f t="shared" si="1"/>
        <v>38956.696886202066</v>
      </c>
    </row>
    <row r="32" spans="1:31" ht="12">
      <c r="A32" s="17" t="s">
        <v>59</v>
      </c>
      <c r="B32" s="18">
        <v>57404.49470216486</v>
      </c>
      <c r="C32" s="1">
        <v>12.606035900782455</v>
      </c>
      <c r="E32" s="1">
        <v>200</v>
      </c>
      <c r="F32" s="1">
        <v>25</v>
      </c>
      <c r="G32" s="1">
        <v>0</v>
      </c>
      <c r="H32" s="1">
        <v>0</v>
      </c>
      <c r="J32" s="1">
        <v>273</v>
      </c>
      <c r="K32" s="1">
        <v>0</v>
      </c>
      <c r="M32" s="1">
        <v>53</v>
      </c>
      <c r="N32" s="1">
        <v>7</v>
      </c>
      <c r="P32" s="1">
        <v>0</v>
      </c>
      <c r="R32" s="1">
        <v>0</v>
      </c>
      <c r="S32" s="1">
        <v>101.3189792350156</v>
      </c>
      <c r="T32" s="1">
        <v>460.78044012949965</v>
      </c>
      <c r="V32" s="1">
        <v>20.833333333333332</v>
      </c>
      <c r="Z32" s="1">
        <f>249.41+50</f>
        <v>299.40999999999997</v>
      </c>
      <c r="AA32" s="1">
        <v>0</v>
      </c>
      <c r="AB32" s="1">
        <v>100.71075</v>
      </c>
      <c r="AC32" s="1">
        <f t="shared" si="0"/>
        <v>1553.659538598631</v>
      </c>
      <c r="AD32" s="1">
        <v>0</v>
      </c>
      <c r="AE32" s="1">
        <f t="shared" si="1"/>
        <v>58958.15424076349</v>
      </c>
    </row>
    <row r="33" spans="1:31" ht="12">
      <c r="A33" s="24" t="s">
        <v>60</v>
      </c>
      <c r="B33" s="26">
        <f aca="true" t="shared" si="3" ref="B33:AE33">SUM(B29:B32)</f>
        <v>138879.56828780135</v>
      </c>
      <c r="C33" s="26">
        <f t="shared" si="3"/>
        <v>34.49396196069043</v>
      </c>
      <c r="D33" s="26">
        <f t="shared" si="3"/>
        <v>0</v>
      </c>
      <c r="E33" s="26">
        <f t="shared" si="3"/>
        <v>400</v>
      </c>
      <c r="F33" s="26">
        <f t="shared" si="3"/>
        <v>46.004</v>
      </c>
      <c r="G33" s="26">
        <f t="shared" si="3"/>
        <v>0</v>
      </c>
      <c r="H33" s="26">
        <f t="shared" si="3"/>
        <v>0</v>
      </c>
      <c r="I33" s="26">
        <f t="shared" si="3"/>
        <v>0</v>
      </c>
      <c r="J33" s="26">
        <f t="shared" si="3"/>
        <v>361</v>
      </c>
      <c r="K33" s="26">
        <f t="shared" si="3"/>
        <v>0</v>
      </c>
      <c r="L33" s="26">
        <f t="shared" si="3"/>
        <v>0</v>
      </c>
      <c r="M33" s="26">
        <f t="shared" si="3"/>
        <v>73</v>
      </c>
      <c r="N33" s="26">
        <f t="shared" si="3"/>
        <v>32</v>
      </c>
      <c r="O33" s="26">
        <f t="shared" si="3"/>
        <v>0</v>
      </c>
      <c r="P33" s="26">
        <f t="shared" si="3"/>
        <v>0</v>
      </c>
      <c r="Q33" s="26">
        <f t="shared" si="3"/>
        <v>0</v>
      </c>
      <c r="R33" s="26">
        <f t="shared" si="3"/>
        <v>0</v>
      </c>
      <c r="S33" s="26">
        <f t="shared" si="3"/>
        <v>229.3067206255034</v>
      </c>
      <c r="T33" s="26">
        <f t="shared" si="3"/>
        <v>842.9145386802944</v>
      </c>
      <c r="U33" s="26">
        <f t="shared" si="3"/>
        <v>0</v>
      </c>
      <c r="V33" s="26">
        <f t="shared" si="3"/>
        <v>20.833333333333332</v>
      </c>
      <c r="W33" s="26">
        <f t="shared" si="3"/>
        <v>0</v>
      </c>
      <c r="X33" s="26">
        <f t="shared" si="3"/>
        <v>369</v>
      </c>
      <c r="Y33" s="26">
        <f t="shared" si="3"/>
        <v>0</v>
      </c>
      <c r="Z33" s="26">
        <f t="shared" si="3"/>
        <v>4189.41</v>
      </c>
      <c r="AA33" s="26">
        <f t="shared" si="3"/>
        <v>2092</v>
      </c>
      <c r="AB33" s="26">
        <f t="shared" si="3"/>
        <v>402.843</v>
      </c>
      <c r="AC33" s="26">
        <f>SUM(AC29:AC32)</f>
        <v>9092.805554599821</v>
      </c>
      <c r="AD33" s="26">
        <f t="shared" si="3"/>
        <v>0</v>
      </c>
      <c r="AE33" s="26">
        <f t="shared" si="3"/>
        <v>147972.37384240117</v>
      </c>
    </row>
    <row r="34" spans="1:31" ht="12">
      <c r="A34" s="24" t="s">
        <v>61</v>
      </c>
      <c r="B34" s="26">
        <f aca="true" t="shared" si="4" ref="B34:AE34">B28+B33</f>
        <v>4606238.967992598</v>
      </c>
      <c r="C34" s="26">
        <f t="shared" si="4"/>
        <v>1777.1367147211458</v>
      </c>
      <c r="D34" s="26">
        <f t="shared" si="4"/>
        <v>3367.4999999999995</v>
      </c>
      <c r="E34" s="26">
        <f t="shared" si="4"/>
        <v>14940</v>
      </c>
      <c r="F34" s="26">
        <f t="shared" si="4"/>
        <v>1848.1189999999997</v>
      </c>
      <c r="G34" s="26">
        <f t="shared" si="4"/>
        <v>549.07825</v>
      </c>
      <c r="H34" s="26">
        <f t="shared" si="4"/>
        <v>2693.3830000000003</v>
      </c>
      <c r="I34" s="26">
        <f t="shared" si="4"/>
        <v>252</v>
      </c>
      <c r="J34" s="26">
        <f t="shared" si="4"/>
        <v>581</v>
      </c>
      <c r="K34" s="26">
        <f t="shared" si="4"/>
        <v>4701</v>
      </c>
      <c r="L34" s="26">
        <f t="shared" si="4"/>
        <v>2691.02513925</v>
      </c>
      <c r="M34" s="26">
        <f t="shared" si="4"/>
        <v>14178</v>
      </c>
      <c r="N34" s="26">
        <f t="shared" si="4"/>
        <v>6165</v>
      </c>
      <c r="O34" s="26">
        <f t="shared" si="4"/>
        <v>14880</v>
      </c>
      <c r="P34" s="26">
        <f t="shared" si="4"/>
        <v>3221.75</v>
      </c>
      <c r="Q34" s="26">
        <f t="shared" si="4"/>
        <v>3221.75</v>
      </c>
      <c r="R34" s="26">
        <f t="shared" si="4"/>
        <v>6443.182560972499</v>
      </c>
      <c r="S34" s="26">
        <f t="shared" si="4"/>
        <v>6067.666738699094</v>
      </c>
      <c r="T34" s="26">
        <f t="shared" si="4"/>
        <v>15107.128543347235</v>
      </c>
      <c r="U34" s="26">
        <f t="shared" si="4"/>
        <v>1450</v>
      </c>
      <c r="V34" s="26">
        <f t="shared" si="4"/>
        <v>2466.8285250000004</v>
      </c>
      <c r="W34" s="26">
        <f t="shared" si="4"/>
        <v>234.50400000000002</v>
      </c>
      <c r="X34" s="26">
        <f t="shared" si="4"/>
        <v>18779</v>
      </c>
      <c r="Y34" s="26">
        <f t="shared" si="4"/>
        <v>1121.9</v>
      </c>
      <c r="Z34" s="26">
        <f t="shared" si="4"/>
        <v>21527.122675000002</v>
      </c>
      <c r="AA34" s="26">
        <f t="shared" si="4"/>
        <v>2467.7599999999998</v>
      </c>
      <c r="AB34" s="26">
        <f t="shared" si="4"/>
        <v>7786.074649999999</v>
      </c>
      <c r="AC34" s="26">
        <f t="shared" si="4"/>
        <v>158517.90979699</v>
      </c>
      <c r="AD34" s="26">
        <f t="shared" si="4"/>
        <v>-82.00999999999999</v>
      </c>
      <c r="AE34" s="26">
        <f t="shared" si="4"/>
        <v>4764674.867789589</v>
      </c>
    </row>
    <row r="35" ht="12"/>
    <row r="36" ht="12">
      <c r="A36" s="1" t="s">
        <v>62</v>
      </c>
    </row>
    <row r="37" ht="12"/>
    <row r="38" ht="12"/>
    <row r="39" ht="12"/>
    <row r="40" ht="12"/>
  </sheetData>
  <mergeCells count="4">
    <mergeCell ref="E4:L4"/>
    <mergeCell ref="A4:A5"/>
    <mergeCell ref="B4:B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&amp;LDHOS/F2&amp;C&amp;"Arial,Gras"Annexe II
Dotations régionales des 
MIGAC 
au 30/09/05</oddHeader>
    <oddFooter>&amp;L&amp;F&amp;C&amp;P/&amp;N
</oddFooter>
  </headerFooter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m.deschamps</dc:creator>
  <cp:keywords/>
  <dc:description/>
  <cp:lastModifiedBy>m.deschamps</cp:lastModifiedBy>
  <cp:lastPrinted>2005-10-20T10:31:03Z</cp:lastPrinted>
  <dcterms:created xsi:type="dcterms:W3CDTF">2005-10-20T10:30:56Z</dcterms:created>
  <dcterms:modified xsi:type="dcterms:W3CDTF">2005-10-20T10:31:18Z</dcterms:modified>
  <cp:category/>
  <cp:version/>
  <cp:contentType/>
  <cp:contentStatus/>
</cp:coreProperties>
</file>